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<sst xmlns="http://schemas.openxmlformats.org/spreadsheetml/2006/main" count="75" uniqueCount="65">
  <si>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AVGAS 100LL</t>
  </si>
  <si>
    <t>x</t>
  </si>
  <si>
    <t>y</t>
  </si>
  <si>
    <t>Moment (kg.m)</t>
  </si>
  <si>
    <t>Avion vide</t>
  </si>
  <si>
    <t>Sièges avant</t>
  </si>
  <si>
    <t>Sièges arrière</t>
  </si>
  <si>
    <t>Essence (L)</t>
  </si>
  <si>
    <t>Essence (kg)</t>
  </si>
  <si>
    <t>Densité (kg/L)</t>
  </si>
  <si>
    <t>Essence</t>
  </si>
  <si>
    <t>Masse (kg)</t>
  </si>
  <si>
    <t>Gauche</t>
  </si>
  <si>
    <t>Droite</t>
  </si>
  <si>
    <t>TOTAL DECOLLAGE</t>
  </si>
  <si>
    <t>Bagages arrière</t>
  </si>
  <si>
    <t>Bagages avant</t>
  </si>
  <si>
    <t>Étagère</t>
  </si>
  <si>
    <t>Huile</t>
  </si>
  <si>
    <t>~ Réservoirs essence vides</t>
  </si>
  <si>
    <t>Masse à vide</t>
  </si>
  <si>
    <t>Poids max</t>
  </si>
  <si>
    <t>Détails masse et centrage</t>
  </si>
  <si>
    <t>kg</t>
  </si>
  <si>
    <t>m</t>
  </si>
  <si>
    <t>Domaine équilibre</t>
  </si>
  <si>
    <t>CG min, catégorie normale</t>
  </si>
  <si>
    <t>CG max, catégorie normale</t>
  </si>
  <si>
    <t>CG min, au poids max</t>
  </si>
  <si>
    <t>CG max, au poids max</t>
  </si>
  <si>
    <t>Poids max de la catégorie normale</t>
  </si>
  <si>
    <t>Bras de levier (m)</t>
  </si>
  <si>
    <t>Délestage</t>
  </si>
  <si>
    <t>MTOW</t>
  </si>
  <si>
    <t>Total</t>
  </si>
  <si>
    <t>Kg</t>
  </si>
  <si>
    <t>Emport</t>
  </si>
  <si>
    <t>Delta charge utile dispo</t>
  </si>
  <si>
    <t>Charge offerte</t>
  </si>
  <si>
    <t>TOW</t>
  </si>
  <si>
    <t>Conso l/h</t>
  </si>
  <si>
    <t>Range Nm</t>
  </si>
  <si>
    <t>Vp Kt</t>
  </si>
  <si>
    <t>Automie h</t>
  </si>
  <si>
    <t>Essence l</t>
  </si>
  <si>
    <t>Variable vent 10%</t>
  </si>
  <si>
    <t xml:space="preserve">Masses </t>
  </si>
  <si>
    <t xml:space="preserve">Overload % </t>
  </si>
  <si>
    <t xml:space="preserve"> F-GAGD      C177RG Cardinal : Feuille de calcul du CG</t>
  </si>
  <si>
    <t>Automie 7 500ft</t>
  </si>
  <si>
    <t>PA 65%</t>
  </si>
  <si>
    <t>CG</t>
  </si>
  <si>
    <t>Vol concerné</t>
  </si>
  <si>
    <t>Date</t>
  </si>
  <si>
    <t>Distance Nm</t>
  </si>
  <si>
    <t>TSV mn</t>
  </si>
  <si>
    <t>TC mn</t>
  </si>
  <si>
    <t>FROM / TO</t>
  </si>
  <si>
    <t>Réserves 30' + roulages</t>
  </si>
  <si>
    <t>Déroutement Nm</t>
  </si>
  <si>
    <t>Besoins avec réserves</t>
  </si>
  <si>
    <t>Avitaillement</t>
  </si>
  <si>
    <t>Autonomie restante h</t>
  </si>
  <si>
    <r>
      <rPr>
        <b/>
        <sz val="12"/>
        <color indexed="10"/>
        <rFont val="Arial"/>
        <family val="2"/>
      </rPr>
      <t>STOP</t>
    </r>
    <r>
      <rPr>
        <b/>
        <sz val="12"/>
        <color indexed="8"/>
        <rFont val="Arial"/>
        <family val="2"/>
      </rPr>
      <t>/</t>
    </r>
    <r>
      <rPr>
        <b/>
        <sz val="12"/>
        <color indexed="17"/>
        <rFont val="Arial"/>
        <family val="2"/>
      </rPr>
      <t>GO</t>
    </r>
  </si>
  <si>
    <t>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</si>
</sst>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h:mm;@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h:mm:ss;@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Segoe UI"/>
      <family val="2"/>
    </font>
    <font>
      <sz val="1"/>
      <color indexed="17"/>
      <name val="Arial"/>
      <family val="2"/>
    </font>
    <font>
      <sz val="10"/>
      <color indexed="63"/>
      <name val="Calibri"/>
      <family val="2"/>
    </font>
    <font>
      <b/>
      <sz val="16"/>
      <color indexed="6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Segoe UI"/>
      <family val="2"/>
    </font>
    <font>
      <sz val="1"/>
      <color rgb="FF00B05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25" borderId="10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0" fontId="53" fillId="25" borderId="12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2" fontId="51" fillId="0" borderId="0" xfId="0" applyNumberFormat="1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16" xfId="0" applyFont="1" applyFill="1" applyBorder="1" applyAlignment="1">
      <alignment horizontal="center" vertical="center"/>
    </xf>
    <xf numFmtId="2" fontId="51" fillId="0" borderId="16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2" fontId="51" fillId="0" borderId="18" xfId="0" applyNumberFormat="1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18" borderId="15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174" fontId="51" fillId="0" borderId="15" xfId="0" applyNumberFormat="1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1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4" fillId="0" borderId="15" xfId="0" applyFont="1" applyBorder="1" applyAlignment="1">
      <alignment horizontal="left"/>
    </xf>
    <xf numFmtId="10" fontId="55" fillId="34" borderId="15" xfId="0" applyNumberFormat="1" applyFont="1" applyFill="1" applyBorder="1" applyAlignment="1">
      <alignment horizontal="center"/>
    </xf>
    <xf numFmtId="0" fontId="54" fillId="18" borderId="20" xfId="0" applyFont="1" applyFill="1" applyBorder="1" applyAlignment="1">
      <alignment horizontal="right" vertical="center"/>
    </xf>
    <xf numFmtId="0" fontId="54" fillId="18" borderId="21" xfId="0" applyFont="1" applyFill="1" applyBorder="1" applyAlignment="1">
      <alignment horizontal="right" vertical="center"/>
    </xf>
    <xf numFmtId="0" fontId="54" fillId="18" borderId="22" xfId="0" applyFont="1" applyFill="1" applyBorder="1" applyAlignment="1">
      <alignment horizontal="right" vertical="center"/>
    </xf>
    <xf numFmtId="0" fontId="54" fillId="18" borderId="18" xfId="0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174" fontId="60" fillId="0" borderId="15" xfId="0" applyNumberFormat="1" applyFont="1" applyFill="1" applyBorder="1" applyAlignment="1">
      <alignment horizontal="center"/>
    </xf>
    <xf numFmtId="2" fontId="60" fillId="0" borderId="15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2" fontId="60" fillId="0" borderId="0" xfId="0" applyNumberFormat="1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174" fontId="51" fillId="0" borderId="15" xfId="0" applyNumberFormat="1" applyFont="1" applyBorder="1" applyAlignment="1">
      <alignment horizontal="center"/>
    </xf>
    <xf numFmtId="174" fontId="54" fillId="0" borderId="15" xfId="0" applyNumberFormat="1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9" fontId="61" fillId="0" borderId="23" xfId="0" applyNumberFormat="1" applyFont="1" applyBorder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54" fillId="18" borderId="20" xfId="0" applyFont="1" applyFill="1" applyBorder="1" applyAlignment="1">
      <alignment horizontal="center" vertical="center"/>
    </xf>
    <xf numFmtId="0" fontId="54" fillId="18" borderId="2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/>
    </xf>
    <xf numFmtId="0" fontId="54" fillId="18" borderId="15" xfId="0" applyFont="1" applyFill="1" applyBorder="1" applyAlignment="1">
      <alignment horizontal="center" vertical="center"/>
    </xf>
    <xf numFmtId="0" fontId="62" fillId="14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Centrage</a:t>
            </a:r>
          </a:p>
        </c:rich>
      </c:tx>
      <c:layout>
        <c:manualLayout>
          <c:xMode val="factor"/>
          <c:yMode val="factor"/>
          <c:x val="-0.000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825"/>
          <c:w val="0.958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Domain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Feuil1!$H$49:$H$54</c:f>
              <c:numCache/>
            </c:numRef>
          </c:xVal>
          <c:yVal>
            <c:numRef>
              <c:f>Feuil1!$I$49:$I$54</c:f>
              <c:numCache/>
            </c:numRef>
          </c:yVal>
          <c:smooth val="0"/>
        </c:ser>
        <c:ser>
          <c:idx val="1"/>
          <c:order val="1"/>
          <c:tx>
            <c:v>Weight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Poids décollage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Poids sans essence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Feuil1!$E$34:$E$35</c:f>
              <c:numCache/>
            </c:numRef>
          </c:xVal>
          <c:yVal>
            <c:numRef>
              <c:f>Feuil1!$D$34:$D$35</c:f>
              <c:numCache/>
            </c:numRef>
          </c:yVal>
          <c:smooth val="0"/>
        </c:ser>
        <c:axId val="4353943"/>
        <c:axId val="39185488"/>
      </c:scatterChart>
      <c:valAx>
        <c:axId val="4353943"/>
        <c:scaling>
          <c:orientation val="minMax"/>
          <c:max val="3"/>
          <c:min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Position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85488"/>
        <c:crosses val="autoZero"/>
        <c:crossBetween val="midCat"/>
        <c:dispUnits/>
      </c:valAx>
      <c:valAx>
        <c:axId val="39185488"/>
        <c:scaling>
          <c:orientation val="minMax"/>
          <c:max val="1300"/>
          <c:min val="7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39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219075</xdr:colOff>
      <xdr:row>43</xdr:row>
      <xdr:rowOff>142875</xdr:rowOff>
    </xdr:to>
    <xdr:graphicFrame>
      <xdr:nvGraphicFramePr>
        <xdr:cNvPr id="1" name="Graphique 2"/>
        <xdr:cNvGraphicFramePr/>
      </xdr:nvGraphicFramePr>
      <xdr:xfrm>
        <a:off x="7372350" y="0"/>
        <a:ext cx="1011555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zoomScalePageLayoutView="0" workbookViewId="0" topLeftCell="A1">
      <pane xSplit="9" ySplit="21" topLeftCell="J22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D8" sqref="D8"/>
    </sheetView>
  </sheetViews>
  <sheetFormatPr defaultColWidth="11.00390625" defaultRowHeight="15.75"/>
  <cols>
    <col min="1" max="1" width="22.125" style="1" customWidth="1"/>
    <col min="2" max="2" width="8.25390625" style="2" bestFit="1" customWidth="1"/>
    <col min="3" max="3" width="9.75390625" style="2" bestFit="1" customWidth="1"/>
    <col min="4" max="4" width="22.50390625" style="2" bestFit="1" customWidth="1"/>
    <col min="5" max="5" width="18.75390625" style="2" bestFit="1" customWidth="1"/>
    <col min="6" max="6" width="15.125" style="2" bestFit="1" customWidth="1"/>
    <col min="7" max="7" width="11.25390625" style="1" customWidth="1"/>
    <col min="8" max="8" width="8.50390625" style="1" customWidth="1"/>
    <col min="9" max="9" width="8.375" style="1" customWidth="1"/>
    <col min="10" max="10" width="13.125" style="1" customWidth="1"/>
    <col min="11" max="11" width="14.375" style="1" customWidth="1"/>
    <col min="12" max="12" width="15.00390625" style="1" customWidth="1"/>
    <col min="13" max="13" width="14.50390625" style="1" customWidth="1"/>
    <col min="14" max="16384" width="11.25390625" style="1" customWidth="1"/>
  </cols>
  <sheetData>
    <row r="1" spans="1:6" ht="36" customHeight="1">
      <c r="A1" s="74" t="s">
        <v>48</v>
      </c>
      <c r="B1" s="74"/>
      <c r="C1" s="74"/>
      <c r="D1" s="74"/>
      <c r="E1" s="74"/>
      <c r="F1" s="74"/>
    </row>
    <row r="3" spans="1:5" ht="15">
      <c r="A3" s="43" t="s">
        <v>52</v>
      </c>
      <c r="E3" s="27" t="s">
        <v>63</v>
      </c>
    </row>
    <row r="4" spans="1:6" ht="15">
      <c r="A4" s="43" t="s">
        <v>53</v>
      </c>
      <c r="B4" s="68"/>
      <c r="C4" s="68"/>
      <c r="E4" s="27" t="s">
        <v>39</v>
      </c>
      <c r="F4" s="47">
        <f>B43</f>
        <v>1267.9</v>
      </c>
    </row>
    <row r="5" spans="1:6" ht="15">
      <c r="A5" s="43" t="s">
        <v>57</v>
      </c>
      <c r="B5" s="68"/>
      <c r="C5" s="68"/>
      <c r="E5" s="27" t="s">
        <v>51</v>
      </c>
      <c r="F5" s="48">
        <f>E34</f>
        <v>2.7701051218550363</v>
      </c>
    </row>
    <row r="6" spans="1:6" ht="15">
      <c r="A6" s="43" t="s">
        <v>54</v>
      </c>
      <c r="B6" s="61">
        <v>500</v>
      </c>
      <c r="C6" s="61"/>
      <c r="E6" s="27" t="s">
        <v>61</v>
      </c>
      <c r="F6" s="48">
        <f>E42-B11</f>
        <v>1.1686507936507935</v>
      </c>
    </row>
    <row r="7" spans="1:6" ht="15">
      <c r="A7" s="43" t="s">
        <v>64</v>
      </c>
      <c r="B7" s="63">
        <v>0.65</v>
      </c>
      <c r="C7" s="58"/>
      <c r="E7" s="55"/>
      <c r="F7" s="56"/>
    </row>
    <row r="8" spans="1:6" ht="15">
      <c r="A8" s="43" t="s">
        <v>42</v>
      </c>
      <c r="B8" s="69">
        <v>140</v>
      </c>
      <c r="C8" s="70"/>
      <c r="F8" s="9"/>
    </row>
    <row r="9" spans="1:3" ht="15">
      <c r="A9" s="43" t="s">
        <v>40</v>
      </c>
      <c r="B9" s="57">
        <v>36</v>
      </c>
      <c r="C9" s="58"/>
    </row>
    <row r="10" spans="1:3" ht="15">
      <c r="A10" s="43" t="s">
        <v>55</v>
      </c>
      <c r="B10" s="62">
        <f>((B6*(60/B8))/60)</f>
        <v>3.571428571428571</v>
      </c>
      <c r="C10" s="62"/>
    </row>
    <row r="11" spans="1:5" ht="15">
      <c r="A11" s="43" t="s">
        <v>56</v>
      </c>
      <c r="B11" s="62">
        <f>B10</f>
        <v>3.571428571428571</v>
      </c>
      <c r="C11" s="62"/>
      <c r="D11" s="41"/>
      <c r="E11" s="41"/>
    </row>
    <row r="12" spans="1:19" ht="15">
      <c r="A12" s="43" t="s">
        <v>32</v>
      </c>
      <c r="B12" s="59">
        <f>((B11*B9))</f>
        <v>128.57142857142856</v>
      </c>
      <c r="C12" s="59"/>
      <c r="S12" s="46"/>
    </row>
    <row r="13" spans="1:19" ht="15">
      <c r="A13" s="43" t="s">
        <v>59</v>
      </c>
      <c r="B13" s="61">
        <v>50</v>
      </c>
      <c r="C13" s="61"/>
      <c r="S13" s="46"/>
    </row>
    <row r="14" spans="1:3" ht="15">
      <c r="A14" s="42" t="s">
        <v>60</v>
      </c>
      <c r="B14" s="60">
        <f>(((B12+E40+E41+((((60/140)*B13)/60)*B9))))</f>
        <v>170.78571428571428</v>
      </c>
      <c r="C14" s="60"/>
    </row>
    <row r="15" spans="1:3" ht="15">
      <c r="A15" s="43" t="s">
        <v>62</v>
      </c>
      <c r="B15" s="62">
        <f>(((D27-B14)/B9))</f>
        <v>0.8115079365079367</v>
      </c>
      <c r="C15" s="62"/>
    </row>
    <row r="21" spans="1:6" ht="27" customHeight="1">
      <c r="A21" s="11"/>
      <c r="B21" s="73" t="s">
        <v>11</v>
      </c>
      <c r="C21" s="73"/>
      <c r="D21" s="73"/>
      <c r="E21" s="65" t="s">
        <v>31</v>
      </c>
      <c r="F21" s="65" t="s">
        <v>3</v>
      </c>
    </row>
    <row r="22" spans="1:6" ht="15.75" customHeight="1" thickBot="1">
      <c r="A22" s="11"/>
      <c r="B22" s="19" t="s">
        <v>12</v>
      </c>
      <c r="C22" s="19" t="s">
        <v>13</v>
      </c>
      <c r="D22" s="19" t="s">
        <v>34</v>
      </c>
      <c r="E22" s="66"/>
      <c r="F22" s="66"/>
    </row>
    <row r="23" spans="1:11" ht="27" customHeight="1">
      <c r="A23" s="29" t="s">
        <v>4</v>
      </c>
      <c r="B23" s="16"/>
      <c r="C23" s="16"/>
      <c r="D23" s="12">
        <v>791</v>
      </c>
      <c r="E23" s="13">
        <v>2.66</v>
      </c>
      <c r="F23" s="13">
        <f>D23*E23</f>
        <v>2104.06</v>
      </c>
      <c r="J23" s="3" t="s">
        <v>10</v>
      </c>
      <c r="K23" s="4" t="s">
        <v>9</v>
      </c>
    </row>
    <row r="24" spans="1:11" ht="30" customHeight="1" thickBot="1">
      <c r="A24" s="30" t="s">
        <v>5</v>
      </c>
      <c r="B24" s="37">
        <v>85</v>
      </c>
      <c r="C24" s="37">
        <v>75</v>
      </c>
      <c r="D24" s="12">
        <f>B24+C24</f>
        <v>160</v>
      </c>
      <c r="E24" s="13">
        <v>2.39</v>
      </c>
      <c r="F24" s="13">
        <f>D24*E24</f>
        <v>382.40000000000003</v>
      </c>
      <c r="J24" s="5" t="s">
        <v>0</v>
      </c>
      <c r="K24" s="6">
        <v>0.721</v>
      </c>
    </row>
    <row r="25" spans="1:6" ht="24.75" customHeight="1">
      <c r="A25" s="30" t="s">
        <v>6</v>
      </c>
      <c r="B25" s="37">
        <v>45</v>
      </c>
      <c r="C25" s="37">
        <v>70</v>
      </c>
      <c r="D25" s="12">
        <f>B25+C25</f>
        <v>115</v>
      </c>
      <c r="E25" s="13">
        <v>3.4</v>
      </c>
      <c r="F25" s="13">
        <f>D25*E25</f>
        <v>391</v>
      </c>
    </row>
    <row r="26" spans="1:6" ht="3" customHeight="1">
      <c r="A26" s="30"/>
      <c r="B26" s="38"/>
      <c r="C26" s="38"/>
      <c r="D26" s="12"/>
      <c r="E26" s="13"/>
      <c r="F26" s="13"/>
    </row>
    <row r="27" spans="1:6" ht="24.75" customHeight="1">
      <c r="A27" s="30" t="s">
        <v>7</v>
      </c>
      <c r="B27" s="37">
        <v>100</v>
      </c>
      <c r="C27" s="37">
        <v>100</v>
      </c>
      <c r="D27" s="12">
        <f>B27+C27</f>
        <v>200</v>
      </c>
      <c r="E27" s="23"/>
      <c r="F27" s="23"/>
    </row>
    <row r="28" spans="1:6" ht="25.5" customHeight="1">
      <c r="A28" s="30" t="s">
        <v>8</v>
      </c>
      <c r="B28" s="14">
        <f>B27*$K$24</f>
        <v>72.1</v>
      </c>
      <c r="C28" s="14">
        <f>C27*$K$24</f>
        <v>72.1</v>
      </c>
      <c r="D28" s="12">
        <f>B28+C28</f>
        <v>144.2</v>
      </c>
      <c r="E28" s="13">
        <v>2.82702</v>
      </c>
      <c r="F28" s="13">
        <f>D28*E28</f>
        <v>407.65628399999997</v>
      </c>
    </row>
    <row r="29" spans="1:6" ht="25.5" customHeight="1">
      <c r="A29" s="30" t="s">
        <v>18</v>
      </c>
      <c r="B29" s="17"/>
      <c r="C29" s="17"/>
      <c r="D29" s="12">
        <v>7.7</v>
      </c>
      <c r="E29" s="13">
        <f>9/7.7</f>
        <v>1.1688311688311688</v>
      </c>
      <c r="F29" s="15">
        <f>D29*E29</f>
        <v>9</v>
      </c>
    </row>
    <row r="30" spans="1:7" ht="24.75" customHeight="1">
      <c r="A30" s="30" t="s">
        <v>16</v>
      </c>
      <c r="B30" s="18"/>
      <c r="C30" s="18"/>
      <c r="D30" s="39">
        <v>20</v>
      </c>
      <c r="E30" s="13">
        <v>3.94</v>
      </c>
      <c r="F30" s="15">
        <f>D30*E30</f>
        <v>78.8</v>
      </c>
      <c r="G30" s="7"/>
    </row>
    <row r="31" spans="1:6" ht="25.5" customHeight="1">
      <c r="A31" s="31" t="s">
        <v>15</v>
      </c>
      <c r="B31" s="18"/>
      <c r="C31" s="18"/>
      <c r="D31" s="39">
        <v>20</v>
      </c>
      <c r="E31" s="13">
        <v>4.55</v>
      </c>
      <c r="F31" s="13">
        <f>D31*E31</f>
        <v>91</v>
      </c>
    </row>
    <row r="32" spans="1:6" ht="25.5" customHeight="1">
      <c r="A32" s="32" t="s">
        <v>17</v>
      </c>
      <c r="B32" s="18"/>
      <c r="C32" s="18"/>
      <c r="D32" s="39">
        <v>10</v>
      </c>
      <c r="E32" s="13">
        <v>4.83</v>
      </c>
      <c r="F32" s="13">
        <f>D32*E32</f>
        <v>48.3</v>
      </c>
    </row>
    <row r="33" spans="1:6" ht="15">
      <c r="A33" s="24"/>
      <c r="E33" s="9"/>
      <c r="F33" s="9"/>
    </row>
    <row r="34" spans="1:6" ht="27.75" customHeight="1">
      <c r="A34" s="71" t="s">
        <v>14</v>
      </c>
      <c r="B34" s="71"/>
      <c r="C34" s="71"/>
      <c r="D34" s="33">
        <f>D23+D24+D25+D26+D28+D30+D31+D29+D32</f>
        <v>1267.9</v>
      </c>
      <c r="E34" s="34">
        <f>F34/D34</f>
        <v>2.7701051218550363</v>
      </c>
      <c r="F34" s="34">
        <f>F23+F24+F25+F26+F28+F30+F31+F29+F32</f>
        <v>3512.2162840000005</v>
      </c>
    </row>
    <row r="35" spans="1:6" ht="18" customHeight="1">
      <c r="A35" s="64" t="s">
        <v>19</v>
      </c>
      <c r="B35" s="64"/>
      <c r="C35" s="64"/>
      <c r="D35" s="35">
        <f>D23+D24+D25+D26+D30+D31+D29+D32</f>
        <v>1123.7</v>
      </c>
      <c r="E35" s="36">
        <f>F35/D35</f>
        <v>2.7628014594642702</v>
      </c>
      <c r="F35" s="36">
        <f>F23+F24+F25+F26+F30+F31+F29+F32</f>
        <v>3104.5600000000004</v>
      </c>
    </row>
    <row r="37" spans="1:5" ht="15">
      <c r="A37" s="42" t="s">
        <v>46</v>
      </c>
      <c r="B37" s="10" t="s">
        <v>35</v>
      </c>
      <c r="D37" s="53" t="s">
        <v>49</v>
      </c>
      <c r="E37" s="54" t="s">
        <v>50</v>
      </c>
    </row>
    <row r="38" spans="1:5" ht="15">
      <c r="A38" s="8" t="s">
        <v>20</v>
      </c>
      <c r="B38" s="22">
        <f>D23+D29</f>
        <v>798.7</v>
      </c>
      <c r="D38" s="49" t="s">
        <v>44</v>
      </c>
      <c r="E38" s="50">
        <f>D27</f>
        <v>200</v>
      </c>
    </row>
    <row r="39" spans="1:5" ht="15">
      <c r="A39" s="8" t="s">
        <v>32</v>
      </c>
      <c r="B39" s="22">
        <f>+D28</f>
        <v>144.2</v>
      </c>
      <c r="D39" s="49" t="s">
        <v>40</v>
      </c>
      <c r="E39" s="50">
        <f>B9</f>
        <v>36</v>
      </c>
    </row>
    <row r="40" spans="1:5" ht="15">
      <c r="A40" s="8" t="s">
        <v>33</v>
      </c>
      <c r="B40" s="22">
        <v>1270</v>
      </c>
      <c r="D40" s="49" t="s">
        <v>45</v>
      </c>
      <c r="E40" s="51">
        <f>(((E39)*B10)*0.1)</f>
        <v>12.857142857142856</v>
      </c>
    </row>
    <row r="41" spans="1:11" ht="15">
      <c r="A41" s="8" t="s">
        <v>38</v>
      </c>
      <c r="B41" s="22">
        <f>B40-B39-B38</f>
        <v>327.0999999999999</v>
      </c>
      <c r="D41" s="49" t="s">
        <v>58</v>
      </c>
      <c r="E41" s="50">
        <f>(23/2)+(15/3)</f>
        <v>16.5</v>
      </c>
      <c r="G41" s="20"/>
      <c r="H41" s="20"/>
      <c r="I41" s="20"/>
      <c r="J41" s="20"/>
      <c r="K41" s="20"/>
    </row>
    <row r="42" spans="1:11" ht="15">
      <c r="A42" s="8" t="s">
        <v>36</v>
      </c>
      <c r="B42" s="22">
        <f>B24+C24+B25+C25+D30+D31+D32</f>
        <v>325</v>
      </c>
      <c r="D42" s="49" t="s">
        <v>43</v>
      </c>
      <c r="E42" s="52">
        <f>((E38-E40-E41)/E39)</f>
        <v>4.740079365079365</v>
      </c>
      <c r="G42" s="20"/>
      <c r="H42" s="20"/>
      <c r="I42" s="20"/>
      <c r="J42" s="20"/>
      <c r="K42" s="20"/>
    </row>
    <row r="43" spans="1:11" ht="15">
      <c r="A43" s="8" t="s">
        <v>39</v>
      </c>
      <c r="B43" s="22">
        <f>B38+B39+B42</f>
        <v>1267.9</v>
      </c>
      <c r="D43" s="49" t="s">
        <v>42</v>
      </c>
      <c r="E43" s="51">
        <f>B8</f>
        <v>140</v>
      </c>
      <c r="G43" s="20"/>
      <c r="H43" s="20"/>
      <c r="I43" s="20"/>
      <c r="J43" s="20"/>
      <c r="K43" s="20"/>
    </row>
    <row r="44" spans="1:11" ht="15">
      <c r="A44" s="8" t="s">
        <v>37</v>
      </c>
      <c r="B44" s="22">
        <f>B41-B42</f>
        <v>2.099999999999909</v>
      </c>
      <c r="D44" s="49" t="s">
        <v>41</v>
      </c>
      <c r="E44" s="51">
        <f>E42*E43</f>
        <v>663.6111111111111</v>
      </c>
      <c r="G44" s="20"/>
      <c r="H44" s="20"/>
      <c r="I44" s="20"/>
      <c r="J44" s="20"/>
      <c r="K44" s="20"/>
    </row>
    <row r="45" spans="1:11" ht="15">
      <c r="A45" s="8" t="s">
        <v>47</v>
      </c>
      <c r="B45" s="28">
        <f>(((B43*100)/B40)-100)/100</f>
        <v>-0.0016535433070865224</v>
      </c>
      <c r="D45" s="44"/>
      <c r="E45" s="45"/>
      <c r="G45" s="20"/>
      <c r="H45" s="20"/>
      <c r="I45" s="20"/>
      <c r="J45" s="20"/>
      <c r="K45" s="20"/>
    </row>
    <row r="46" spans="7:11" ht="15">
      <c r="G46" s="20"/>
      <c r="H46" s="20"/>
      <c r="I46" s="20"/>
      <c r="J46" s="20"/>
      <c r="K46" s="20"/>
    </row>
    <row r="47" spans="1:11" ht="15">
      <c r="A47" s="67" t="s">
        <v>22</v>
      </c>
      <c r="B47" s="67"/>
      <c r="C47" s="25"/>
      <c r="D47" s="25"/>
      <c r="G47" s="20"/>
      <c r="H47" s="21" t="s">
        <v>25</v>
      </c>
      <c r="I47" s="21"/>
      <c r="J47" s="21"/>
      <c r="K47" s="20"/>
    </row>
    <row r="48" spans="1:11" ht="15">
      <c r="A48" s="72" t="s">
        <v>20</v>
      </c>
      <c r="B48" s="72"/>
      <c r="C48" s="26">
        <v>791</v>
      </c>
      <c r="D48" s="26" t="s">
        <v>23</v>
      </c>
      <c r="G48" s="20"/>
      <c r="H48" s="20" t="s">
        <v>1</v>
      </c>
      <c r="I48" s="20" t="s">
        <v>2</v>
      </c>
      <c r="J48" s="20"/>
      <c r="K48" s="20"/>
    </row>
    <row r="49" spans="1:11" ht="15">
      <c r="A49" s="72" t="s">
        <v>21</v>
      </c>
      <c r="B49" s="72"/>
      <c r="C49" s="40">
        <v>1270.059</v>
      </c>
      <c r="D49" s="26" t="s">
        <v>23</v>
      </c>
      <c r="G49" s="20"/>
      <c r="H49" s="20">
        <f>C50</f>
        <v>2.5654</v>
      </c>
      <c r="I49" s="20">
        <f>C48</f>
        <v>791</v>
      </c>
      <c r="J49" s="20"/>
      <c r="K49" s="20"/>
    </row>
    <row r="50" spans="1:11" ht="15">
      <c r="A50" s="72" t="s">
        <v>26</v>
      </c>
      <c r="B50" s="72"/>
      <c r="C50" s="40">
        <v>2.5654</v>
      </c>
      <c r="D50" s="26" t="s">
        <v>24</v>
      </c>
      <c r="G50" s="20"/>
      <c r="H50" s="20">
        <f>C51</f>
        <v>2.91338</v>
      </c>
      <c r="I50" s="20">
        <f>C48</f>
        <v>791</v>
      </c>
      <c r="J50" s="20"/>
      <c r="K50" s="20"/>
    </row>
    <row r="51" spans="1:11" ht="15">
      <c r="A51" s="72" t="s">
        <v>27</v>
      </c>
      <c r="B51" s="72"/>
      <c r="C51" s="40">
        <v>2.91338</v>
      </c>
      <c r="D51" s="26" t="s">
        <v>24</v>
      </c>
      <c r="G51" s="20"/>
      <c r="H51" s="20">
        <f>C53</f>
        <v>2.91338</v>
      </c>
      <c r="I51" s="20">
        <f>C49</f>
        <v>1270.059</v>
      </c>
      <c r="J51" s="20"/>
      <c r="K51" s="20"/>
    </row>
    <row r="52" spans="1:11" ht="15">
      <c r="A52" s="72" t="s">
        <v>28</v>
      </c>
      <c r="B52" s="72"/>
      <c r="C52" s="40">
        <v>2.68478</v>
      </c>
      <c r="D52" s="26" t="s">
        <v>24</v>
      </c>
      <c r="G52" s="20"/>
      <c r="H52" s="20">
        <f>C52</f>
        <v>2.68478</v>
      </c>
      <c r="I52" s="20">
        <f>C49</f>
        <v>1270.059</v>
      </c>
      <c r="J52" s="20"/>
      <c r="K52" s="20"/>
    </row>
    <row r="53" spans="1:11" ht="15">
      <c r="A53" s="72" t="s">
        <v>29</v>
      </c>
      <c r="B53" s="72"/>
      <c r="C53" s="40">
        <v>2.91338</v>
      </c>
      <c r="D53" s="26" t="s">
        <v>24</v>
      </c>
      <c r="G53" s="20"/>
      <c r="H53" s="20">
        <f>C50</f>
        <v>2.5654</v>
      </c>
      <c r="I53" s="20">
        <f>C54</f>
        <v>997.9032</v>
      </c>
      <c r="J53" s="20"/>
      <c r="K53" s="20"/>
    </row>
    <row r="54" spans="1:11" ht="15">
      <c r="A54" s="72" t="s">
        <v>30</v>
      </c>
      <c r="B54" s="72"/>
      <c r="C54" s="40">
        <v>997.9032</v>
      </c>
      <c r="D54" s="26" t="s">
        <v>23</v>
      </c>
      <c r="G54" s="20"/>
      <c r="H54" s="20">
        <f>H49</f>
        <v>2.5654</v>
      </c>
      <c r="I54" s="20">
        <f>I49</f>
        <v>791</v>
      </c>
      <c r="J54" s="20"/>
      <c r="K54" s="20"/>
    </row>
    <row r="55" spans="7:11" ht="15">
      <c r="G55" s="20"/>
      <c r="H55" s="20"/>
      <c r="I55" s="20"/>
      <c r="J55" s="20"/>
      <c r="K55" s="20"/>
    </row>
  </sheetData>
  <sheetProtection/>
  <mergeCells count="26">
    <mergeCell ref="A34:C34"/>
    <mergeCell ref="A52:B52"/>
    <mergeCell ref="A53:B53"/>
    <mergeCell ref="A54:B54"/>
    <mergeCell ref="B21:D21"/>
    <mergeCell ref="A1:F1"/>
    <mergeCell ref="A50:B50"/>
    <mergeCell ref="A51:B51"/>
    <mergeCell ref="A48:B48"/>
    <mergeCell ref="A49:B49"/>
    <mergeCell ref="A35:C35"/>
    <mergeCell ref="E21:E22"/>
    <mergeCell ref="F21:F22"/>
    <mergeCell ref="A47:B47"/>
    <mergeCell ref="B5:C5"/>
    <mergeCell ref="B4:C4"/>
    <mergeCell ref="B11:C11"/>
    <mergeCell ref="B10:C10"/>
    <mergeCell ref="B6:C6"/>
    <mergeCell ref="B8:C8"/>
    <mergeCell ref="B9:C9"/>
    <mergeCell ref="B12:C12"/>
    <mergeCell ref="B14:C14"/>
    <mergeCell ref="B13:C13"/>
    <mergeCell ref="B15:C15"/>
    <mergeCell ref="B7:C7"/>
  </mergeCells>
  <conditionalFormatting sqref="F4">
    <cfRule type="colorScale" priority="7" dxfId="0">
      <colorScale>
        <cfvo type="num" val="1270"/>
        <cfvo type="num" val="1271"/>
        <color rgb="FF00B050"/>
        <color rgb="FFFF0000"/>
      </colorScale>
    </cfRule>
    <cfRule type="colorScale" priority="8" dxfId="0">
      <colorScale>
        <cfvo type="min" val="0"/>
        <cfvo type="max"/>
        <color rgb="FF00B050"/>
        <color rgb="FFFF0000"/>
      </colorScale>
    </cfRule>
  </conditionalFormatting>
  <conditionalFormatting sqref="F5">
    <cfRule type="colorScale" priority="1" dxfId="0">
      <colorScale>
        <cfvo type="min" val="0"/>
        <cfvo type="num" val="&quot;2.91&quot;"/>
        <cfvo type="max"/>
        <color rgb="FF00B050"/>
        <color rgb="FFFFEB84"/>
        <color rgb="FFFF0000"/>
      </colorScale>
    </cfRule>
    <cfRule type="colorScale" priority="2" dxfId="0">
      <colorScale>
        <cfvo type="min" val="0"/>
        <cfvo type="num" val="2.91"/>
        <cfvo type="max"/>
        <color rgb="FF00B050"/>
        <color rgb="FFFFEB84"/>
        <color rgb="FFFF0000"/>
      </colorScale>
    </cfRule>
    <cfRule type="colorScale" priority="5" dxfId="0">
      <colorScale>
        <cfvo type="num" val="2.9"/>
        <cfvo type="num" val="2.91"/>
        <color rgb="FF00B050"/>
        <color rgb="FFFF0000"/>
      </colorScale>
    </cfRule>
    <cfRule type="colorScale" priority="6" dxfId="0">
      <colorScale>
        <cfvo type="num" val="2.9"/>
        <cfvo type="num" val="2.91"/>
        <color rgb="FF00B050"/>
        <color rgb="FFFFEF9C"/>
      </colorScale>
    </cfRule>
  </conditionalFormatting>
  <conditionalFormatting sqref="F6:F7">
    <cfRule type="colorScale" priority="3" dxfId="0">
      <colorScale>
        <cfvo type="num" val="-0.1"/>
        <cfvo type="num" val="0.1"/>
        <color rgb="FFFF0000"/>
        <color rgb="FF00B050"/>
      </colorScale>
    </cfRule>
    <cfRule type="colorScale" priority="4" dxfId="0">
      <colorScale>
        <cfvo type="num" val="-0.1"/>
        <cfvo type="num" val="0"/>
        <cfvo type="num" val="0.1"/>
        <color rgb="FFFF0000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E34:E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Benoit Combe</cp:lastModifiedBy>
  <dcterms:created xsi:type="dcterms:W3CDTF">2021-04-05T17:25:41Z</dcterms:created>
  <dcterms:modified xsi:type="dcterms:W3CDTF">2021-04-07T16:54:52Z</dcterms:modified>
  <cp:category/>
  <cp:version/>
  <cp:contentType/>
  <cp:contentStatus/>
</cp:coreProperties>
</file>